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.novak\Desktop\"/>
    </mc:Choice>
  </mc:AlternateContent>
  <xr:revisionPtr revIDLastSave="0" documentId="8_{2AA62757-4739-405E-976C-3FF2A56D54E4}" xr6:coauthVersionLast="45" xr6:coauthVersionMax="45" xr10:uidLastSave="{00000000-0000-0000-0000-000000000000}"/>
  <workbookProtection workbookAlgorithmName="SHA-512" workbookHashValue="qP0WRcxiIN2+0duziOgaa0LzAoggqvV3DdudKFvPRJldTfKFOEoweeY3otiuiXtcluXpR0pRvPnUd5PiD8FPiw==" workbookSaltValue="ghyewQAg/bL+UoaBb19gsg==" workbookSpinCount="100000" lockStructure="1"/>
  <bookViews>
    <workbookView xWindow="-120" yWindow="-120" windowWidth="29040" windowHeight="15840" xr2:uid="{4B0CC446-134E-4104-BFD1-46477CEE315A}"/>
  </bookViews>
  <sheets>
    <sheet name="Аркуш1" sheetId="1" r:id="rId1"/>
    <sheet name="inputs" sheetId="2" state="hidden" r:id="rId2"/>
    <sheet name="kurs" sheetId="4" state="hidden" r:id="rId3"/>
  </sheets>
  <definedNames>
    <definedName name="_xlnm.Print_Area" localSheetId="0">Аркуш1!$A$1:$E$52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E4" i="2" l="1"/>
  <c r="E3" i="2"/>
  <c r="E2" i="2"/>
  <c r="D18" i="1" l="1"/>
  <c r="B22" i="1"/>
  <c r="D29" i="1" l="1"/>
  <c r="C37" i="1" l="1"/>
  <c r="B37" i="1"/>
  <c r="H35" i="1" l="1"/>
  <c r="F35" i="1"/>
  <c r="D24" i="1"/>
  <c r="D32" i="1" l="1"/>
  <c r="G2" i="2"/>
  <c r="D23" i="1" l="1"/>
  <c r="C18" i="1"/>
  <c r="B18" i="1"/>
  <c r="D28" i="1" l="1"/>
  <c r="G36" i="1" s="1"/>
  <c r="B21" i="1"/>
  <c r="B20" i="1"/>
  <c r="B19" i="1"/>
  <c r="C20" i="1"/>
  <c r="C19" i="1"/>
  <c r="F36" i="1" l="1"/>
  <c r="D36" i="1" s="1"/>
  <c r="D37" i="1" s="1"/>
  <c r="D33" i="1"/>
  <c r="D41" i="1" s="1"/>
  <c r="D40" i="1"/>
  <c r="D35" i="1"/>
  <c r="D27" i="1"/>
  <c r="C21" i="1"/>
  <c r="C39" i="1" l="1"/>
  <c r="B39" i="1"/>
  <c r="C35" i="1" l="1"/>
  <c r="B35" i="1"/>
  <c r="C32" i="1"/>
  <c r="B32" i="1"/>
  <c r="C28" i="1"/>
  <c r="C29" i="1"/>
  <c r="B28" i="1"/>
  <c r="B29" i="1"/>
  <c r="C27" i="1"/>
  <c r="B27" i="1"/>
  <c r="D26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 Novak</author>
  </authors>
  <commentList>
    <comment ref="D18" authorId="0" shapeId="0" xr:uid="{0199E83F-88D5-4FE4-9315-2373F6FB0005}">
      <text>
        <r>
          <rPr>
            <b/>
            <sz val="9"/>
            <color indexed="81"/>
            <rFont val="Tahoma"/>
            <family val="2"/>
            <charset val="204"/>
          </rPr>
          <t>Roman Novak:</t>
        </r>
        <r>
          <rPr>
            <sz val="9"/>
            <color indexed="81"/>
            <rFont val="Tahoma"/>
            <family val="2"/>
            <charset val="204"/>
          </rPr>
          <t xml:space="preserve">
https://www.barchart.com/futures/quotes/E6H20/futures-prices</t>
        </r>
      </text>
    </comment>
    <comment ref="D21" authorId="0" shapeId="0" xr:uid="{768267AC-FE09-41FB-897F-8378D53D2687}">
      <text>
        <r>
          <rPr>
            <sz val="9"/>
            <color indexed="81"/>
            <rFont val="Tahoma"/>
            <family val="2"/>
            <charset val="204"/>
          </rPr>
          <t>середньозваженого курсу продажу долара США, який склався за результатами торгів на міжбанківському валютному ринку України на кінець робочого дня, що передує даті виставлення відповідного Рахунку на оплату Товару, і який публікується на сайті www.kurs.com.ua.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75BC7B9-B876-476D-B410-409B40262767}" keepAlive="1" name="Запит – Table 2" description="Підключення до запита &quot;Table 2&quot; у книзі." type="5" refreshedVersion="6" background="1" refreshOnLoad="1" saveData="1">
    <dbPr connection="Provider=Microsoft.Mashup.OleDb.1;Data Source=$Workbook$;Location=Table 2;Extended Properties=&quot;&quot;" command="SELECT * FROM [Table 2]"/>
  </connection>
</connections>
</file>

<file path=xl/sharedStrings.xml><?xml version="1.0" encoding="utf-8"?>
<sst xmlns="http://schemas.openxmlformats.org/spreadsheetml/2006/main" count="132" uniqueCount="111">
  <si>
    <t>Початкова дата</t>
  </si>
  <si>
    <t>Кінцева дата</t>
  </si>
  <si>
    <t>Еквівалент (mt)</t>
  </si>
  <si>
    <t>Fix start price</t>
  </si>
  <si>
    <t>Fix end price</t>
  </si>
  <si>
    <t>Start price (EUR/mt)</t>
  </si>
  <si>
    <t>End price (EUR/mt)</t>
  </si>
  <si>
    <t>Equivalent tonnage (mt)</t>
  </si>
  <si>
    <t>Кукурудза</t>
  </si>
  <si>
    <t>CME</t>
  </si>
  <si>
    <t>ZCZ2020</t>
  </si>
  <si>
    <t>Пшениця</t>
  </si>
  <si>
    <t>EURONEX</t>
  </si>
  <si>
    <t>MLU20</t>
  </si>
  <si>
    <t>Ріпак</t>
  </si>
  <si>
    <t>XRXQ20</t>
  </si>
  <si>
    <t>Crop</t>
  </si>
  <si>
    <t>https://kurs.com.ua/ua/arhiv/</t>
  </si>
  <si>
    <t>USD</t>
  </si>
  <si>
    <t>EUR</t>
  </si>
  <si>
    <t>Start price (USD/mt)</t>
  </si>
  <si>
    <t>End price (USD/mt)</t>
  </si>
  <si>
    <t>Вартість  опціону (EUR)</t>
  </si>
  <si>
    <t>Options Cost (EUR)</t>
  </si>
  <si>
    <t>Вартість  опціону (USD)</t>
  </si>
  <si>
    <t>Options Cost (USD)</t>
  </si>
  <si>
    <t>Витрати за програмою (%)</t>
  </si>
  <si>
    <t>Program costs (%)</t>
  </si>
  <si>
    <t>USD/bushels</t>
  </si>
  <si>
    <t>End price (USD/bushels)</t>
  </si>
  <si>
    <t>http://www.cmegroup.com/trading/agricultural/grain-and-oilseed/corn_quotes_settlements_futures.html</t>
  </si>
  <si>
    <t>https://live.euronext.com/en/product/commodities-futures/EBM-DPAR</t>
  </si>
  <si>
    <t>Дисконт (%) з ПДВ</t>
  </si>
  <si>
    <t>https://live.euronext.com/en/product/commodities-futures/ECO-DPAR/</t>
  </si>
  <si>
    <t>https://www.barchart.com/futures/quotes/E6H20/futures-prices</t>
  </si>
  <si>
    <t>Adama product purchase (USD)</t>
  </si>
  <si>
    <t>Сума продаж продукти ADAMA (USD) з ПДВ</t>
  </si>
  <si>
    <t>Очікуваний крос-курс  (EUR/USD)</t>
  </si>
  <si>
    <t>Expected FX rate (EUR/USD)</t>
  </si>
  <si>
    <t>Сума продаж продукти ADAMA (USD). Без ПДВ</t>
  </si>
  <si>
    <t>Дисконт (USD) з ПДВ</t>
  </si>
  <si>
    <t>_</t>
  </si>
  <si>
    <t>FX rate (EUR/UAH)</t>
  </si>
  <si>
    <t>FX rate (USD/UAH)</t>
  </si>
  <si>
    <t>Курс  (EUR/UAH)</t>
  </si>
  <si>
    <t>Курс  (USD/UAH)</t>
  </si>
  <si>
    <t>лот , тон</t>
  </si>
  <si>
    <t>Start price (US сens/bushels)</t>
  </si>
  <si>
    <t>Option contracts to be purchased</t>
  </si>
  <si>
    <t>Кількість контрактів для придбання</t>
  </si>
  <si>
    <t>costs</t>
  </si>
  <si>
    <t>Contract</t>
  </si>
  <si>
    <t>Last</t>
  </si>
  <si>
    <t>Change</t>
  </si>
  <si>
    <t>Open</t>
  </si>
  <si>
    <t>High</t>
  </si>
  <si>
    <t>Low</t>
  </si>
  <si>
    <t>Previous</t>
  </si>
  <si>
    <t>Volume</t>
  </si>
  <si>
    <t>Open Int</t>
  </si>
  <si>
    <t>Time</t>
  </si>
  <si>
    <t>Links</t>
  </si>
  <si>
    <t> E6U20 (Sep '20)</t>
  </si>
  <si>
    <t>Сума заявки на участь в Агропакеті ПРОФІ (USD). Без ПДВ</t>
  </si>
  <si>
    <t>Sum of crop for Hedging (USD)</t>
  </si>
  <si>
    <t>Сума заявки на участь в Агропакеті ПРОФІ (USD). з ПДВ</t>
  </si>
  <si>
    <t>Hedge volume , (EUR) inc.VAT</t>
  </si>
  <si>
    <t>Discount (USD)  inc.VAT</t>
  </si>
  <si>
    <t>Discount (%)  inc. VAT</t>
  </si>
  <si>
    <t>Sum of crop for Hedging (USD) inc. VAT</t>
  </si>
  <si>
    <t>Adama product purchase (USD) inc. VAT</t>
  </si>
  <si>
    <t>Hedge volume ,(USD) inc.VAT</t>
  </si>
  <si>
    <t>Change in the price of goods ,%</t>
  </si>
  <si>
    <t>Найменування товару</t>
  </si>
  <si>
    <t>Об'єм ПРОФІ (EUR) З ПДВ</t>
  </si>
  <si>
    <t>Об'єм ПРОФІ (USD) з ПДВ</t>
  </si>
  <si>
    <t>Початкова ціна,  Чиказька біржа (USD/mt)</t>
  </si>
  <si>
    <t>Кінцева ціна, Чиказька біржа  (USD/mt)</t>
  </si>
  <si>
    <t>Початкова ціна, Європейська товарна біржа  (EUR/mt)</t>
  </si>
  <si>
    <t>Кінцева ціна, Європейська товарна біржа  (EUR/mt)</t>
  </si>
  <si>
    <t>Початкова ціна  (EUR/mt)*</t>
  </si>
  <si>
    <t>Кінцева ціна  (EUR/mt)*</t>
  </si>
  <si>
    <t>Початкова ціна  (US сens/bushels)*</t>
  </si>
  <si>
    <t>Кінцева ціна  (USD/bushels)*</t>
  </si>
  <si>
    <t xml:space="preserve">http://www.cmegroup.com/trading/agricultural/grain-and-oilseed/corn_quotes_settlements_futures.html </t>
  </si>
  <si>
    <t>*</t>
  </si>
  <si>
    <t>https://www.cmegroup.com/trading/agricultural/grain-and-oilseed/corn_quotes_settlements_futures.html</t>
  </si>
  <si>
    <t>0.00000</t>
  </si>
  <si>
    <t>E6M21 (Jun '21)</t>
  </si>
  <si>
    <t>E6U21 (Sep '21)</t>
  </si>
  <si>
    <t>E6Z21 (Dec '21)</t>
  </si>
  <si>
    <t>Варіант періоду фіксацій</t>
  </si>
  <si>
    <t>варіант №1</t>
  </si>
  <si>
    <t>варіант №2</t>
  </si>
  <si>
    <t>варіант №3</t>
  </si>
  <si>
    <t>09/30/20</t>
  </si>
  <si>
    <t>1.18060</t>
  </si>
  <si>
    <t>+0.00220</t>
  </si>
  <si>
    <t>1.18150</t>
  </si>
  <si>
    <t>1.18200</t>
  </si>
  <si>
    <t>1.17840</t>
  </si>
  <si>
    <t>02:30 CT</t>
  </si>
  <si>
    <t>-0.00215</t>
  </si>
  <si>
    <t>1.18110</t>
  </si>
  <si>
    <t>1.18405</t>
  </si>
  <si>
    <t>1.17880</t>
  </si>
  <si>
    <t>1.18300</t>
  </si>
  <si>
    <t>-0.00220</t>
  </si>
  <si>
    <t>1.18620</t>
  </si>
  <si>
    <t>1.18075</t>
  </si>
  <si>
    <t>1.18550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</si>
</sst>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₴_-;\-* #,##0.00\ _₴_-;_-* &quot;-&quot;??\ _₴_-;_-@_-"/>
    <numFmt numFmtId="165" formatCode="_-* #,##0.000\ _₴_-;\-* #,##0.000\ _₴_-;_-* &quot;-&quot;??\ _₴_-;_-@_-"/>
    <numFmt numFmtId="166" formatCode="_-* #,##0.0000000\ _₽_-;\-* #,##0.0000000\ _₽_-;_-* &quot;-&quot;??\ _₽_-;_-@_-"/>
    <numFmt numFmtId="167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rgb="FFFF0000"/>
      <name val="Century Gothic"/>
      <family val="2"/>
      <charset val="204"/>
    </font>
    <font>
      <b/>
      <sz val="11"/>
      <color rgb="FFF55A00"/>
      <name val="Century Gothic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55A00"/>
      <name val="Century Gothic"/>
      <family val="2"/>
      <charset val="204"/>
    </font>
    <font>
      <sz val="14"/>
      <color rgb="FF250FA7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9CC3E5"/>
      <name val="Century Gothic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5F504D"/>
      <name val="Arial"/>
      <family val="2"/>
      <charset val="204"/>
    </font>
    <font>
      <sz val="12"/>
      <color rgb="FF5F504D"/>
      <name val="Arial"/>
      <family val="2"/>
      <charset val="204"/>
    </font>
    <font>
      <b/>
      <sz val="11"/>
      <color rgb="FF5F504D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1C1D1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521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medium">
        <color rgb="FFA3A3A3"/>
      </left>
      <right style="medium">
        <color rgb="FFA3A3A3"/>
      </right>
      <top/>
      <bottom/>
      <diagonal/>
    </border>
    <border>
      <left/>
      <right/>
      <top style="medium">
        <color rgb="FF3E3E3D"/>
      </top>
      <bottom style="medium">
        <color rgb="FF3E3E3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A3A3A3"/>
      </right>
      <top style="thin">
        <color indexed="64"/>
      </top>
      <bottom/>
      <diagonal/>
    </border>
    <border>
      <left style="medium">
        <color rgb="FFA3A3A3"/>
      </left>
      <right style="medium">
        <color rgb="FFA3A3A3"/>
      </right>
      <top style="thin">
        <color indexed="64"/>
      </top>
      <bottom/>
      <diagonal/>
    </border>
    <border>
      <left style="medium">
        <color rgb="FFA3A3A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A3A3A3"/>
      </right>
      <top/>
      <bottom/>
      <diagonal/>
    </border>
    <border>
      <left style="medium">
        <color rgb="FFA3A3A3"/>
      </left>
      <right style="thin">
        <color indexed="64"/>
      </right>
      <top/>
      <bottom/>
      <diagonal/>
    </border>
    <border>
      <left style="medium">
        <color rgb="FFA3A3A3"/>
      </left>
      <right style="medium">
        <color rgb="FFA3A3A3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0" fillId="0" borderId="0" xfId="0" applyNumberFormat="1" applyFont="1"/>
    <xf numFmtId="0" fontId="5" fillId="0" borderId="0" xfId="4" applyFont="1"/>
    <xf numFmtId="0" fontId="5" fillId="2" borderId="3" xfId="4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4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/>
    <xf numFmtId="14" fontId="0" fillId="5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0" fontId="18" fillId="0" borderId="0" xfId="4" applyFont="1"/>
    <xf numFmtId="0" fontId="20" fillId="0" borderId="0" xfId="0" applyFont="1"/>
    <xf numFmtId="0" fontId="18" fillId="3" borderId="4" xfId="4" applyFont="1" applyFill="1" applyBorder="1" applyAlignment="1"/>
    <xf numFmtId="0" fontId="18" fillId="4" borderId="4" xfId="4" applyFont="1" applyFill="1" applyBorder="1" applyAlignment="1"/>
    <xf numFmtId="0" fontId="1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1" fillId="0" borderId="0" xfId="0" applyFont="1" applyProtection="1"/>
    <xf numFmtId="4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/>
    <xf numFmtId="10" fontId="1" fillId="0" borderId="0" xfId="2" applyNumberFormat="1" applyFont="1" applyProtection="1">
      <protection hidden="1"/>
    </xf>
    <xf numFmtId="10" fontId="1" fillId="0" borderId="0" xfId="2" applyNumberFormat="1" applyFont="1"/>
    <xf numFmtId="164" fontId="1" fillId="0" borderId="0" xfId="1" applyFont="1"/>
    <xf numFmtId="2" fontId="1" fillId="0" borderId="0" xfId="0" applyNumberFormat="1" applyFont="1" applyProtection="1">
      <protection hidden="1"/>
    </xf>
    <xf numFmtId="0" fontId="21" fillId="0" borderId="0" xfId="0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Protection="1"/>
    <xf numFmtId="0" fontId="21" fillId="0" borderId="0" xfId="0" applyFont="1" applyProtection="1"/>
    <xf numFmtId="0" fontId="21" fillId="0" borderId="0" xfId="0" applyFont="1" applyProtection="1">
      <protection hidden="1"/>
    </xf>
    <xf numFmtId="164" fontId="21" fillId="0" borderId="0" xfId="1" applyFont="1" applyProtection="1">
      <protection hidden="1"/>
    </xf>
    <xf numFmtId="0" fontId="23" fillId="0" borderId="0" xfId="0" applyFont="1" applyAlignment="1" applyProtection="1">
      <alignment horizontal="center" vertical="center"/>
    </xf>
    <xf numFmtId="0" fontId="19" fillId="6" borderId="0" xfId="0" applyFont="1" applyFill="1"/>
    <xf numFmtId="0" fontId="19" fillId="6" borderId="0" xfId="0" applyFont="1" applyFill="1" applyProtection="1">
      <protection locked="0"/>
    </xf>
    <xf numFmtId="4" fontId="19" fillId="6" borderId="0" xfId="0" applyNumberFormat="1" applyFont="1" applyFill="1" applyProtection="1">
      <protection locked="0"/>
    </xf>
    <xf numFmtId="167" fontId="19" fillId="6" borderId="0" xfId="0" applyNumberFormat="1" applyFont="1" applyFill="1" applyProtection="1"/>
    <xf numFmtId="0" fontId="21" fillId="7" borderId="0" xfId="0" applyFont="1" applyFill="1"/>
    <xf numFmtId="3" fontId="21" fillId="7" borderId="0" xfId="0" applyNumberFormat="1" applyFont="1" applyFill="1" applyProtection="1">
      <protection hidden="1"/>
    </xf>
    <xf numFmtId="0" fontId="22" fillId="7" borderId="0" xfId="0" applyFont="1" applyFill="1" applyProtection="1"/>
    <xf numFmtId="0" fontId="21" fillId="7" borderId="0" xfId="0" applyFont="1" applyFill="1" applyProtection="1"/>
    <xf numFmtId="14" fontId="21" fillId="7" borderId="0" xfId="0" applyNumberFormat="1" applyFont="1" applyFill="1" applyProtection="1">
      <protection hidden="1"/>
    </xf>
    <xf numFmtId="4" fontId="21" fillId="7" borderId="0" xfId="0" applyNumberFormat="1" applyFont="1" applyFill="1" applyProtection="1">
      <protection hidden="1"/>
    </xf>
    <xf numFmtId="164" fontId="21" fillId="7" borderId="0" xfId="1" applyFont="1" applyFill="1" applyProtection="1">
      <protection hidden="1"/>
    </xf>
    <xf numFmtId="165" fontId="21" fillId="7" borderId="0" xfId="1" applyNumberFormat="1" applyFont="1" applyFill="1" applyProtection="1">
      <protection hidden="1"/>
    </xf>
    <xf numFmtId="10" fontId="21" fillId="7" borderId="0" xfId="2" applyNumberFormat="1" applyFont="1" applyFill="1" applyProtection="1">
      <protection hidden="1"/>
    </xf>
    <xf numFmtId="164" fontId="21" fillId="7" borderId="0" xfId="0" applyNumberFormat="1" applyFont="1" applyFill="1" applyProtection="1">
      <protection hidden="1"/>
    </xf>
    <xf numFmtId="0" fontId="1" fillId="8" borderId="0" xfId="0" applyFont="1" applyFill="1"/>
    <xf numFmtId="0" fontId="23" fillId="0" borderId="0" xfId="0" applyFont="1" applyAlignment="1" applyProtection="1">
      <alignment horizontal="center" vertical="center" textRotation="90"/>
    </xf>
    <xf numFmtId="0" fontId="17" fillId="0" borderId="0" xfId="0" applyFont="1" applyAlignment="1" applyProtection="1">
      <alignment horizontal="center" vertical="center" textRotation="90"/>
    </xf>
  </cellXfs>
  <cellStyles count="5">
    <cellStyle name="Відсотковий" xfId="2" builtinId="5"/>
    <cellStyle name="Гіперпосилання" xfId="4" builtinId="8"/>
    <cellStyle name="Звичайний" xfId="0" builtinId="0"/>
    <cellStyle name="Звичайний 2" xfId="3" xr:uid="{1B35146D-7E9E-46E7-8D67-83509D36D6F0}"/>
    <cellStyle name="Фінансовий" xfId="1" builtinId="3"/>
  </cellStyles>
  <dxfs count="0"/>
  <tableStyles count="0" defaultTableStyle="TableStyleMedium2" defaultPivotStyle="PivotStyleLight16"/>
  <colors>
    <mruColors>
      <color rgb="FF9D1D96"/>
      <color rgb="FF752157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374118</xdr:colOff>
      <xdr:row>37</xdr:row>
      <xdr:rowOff>170771</xdr:rowOff>
    </xdr:from>
    <xdr:to>
      <xdr:col>4</xdr:col>
      <xdr:colOff>250055</xdr:colOff>
      <xdr:row>41</xdr:row>
      <xdr:rowOff>33618</xdr:rowOff>
    </xdr:to>
    <xdr:sp macro="" textlink="">
      <xdr:nvSpPr>
        <xdr:cNvPr id="7" name="Блок-схема: альтернативний процес 6">
          <a:extLst>
            <a:ext uri="{FF2B5EF4-FFF2-40B4-BE49-F238E27FC236}">
              <a16:creationId xmlns:a16="http://schemas.microsoft.com/office/drawing/2014/main" id="{7AA0DC0D-E6E3-4EC0-8A97-5C98F9611191}"/>
            </a:ext>
          </a:extLst>
        </xdr:cNvPr>
        <xdr:cNvSpPr/>
      </xdr:nvSpPr>
      <xdr:spPr>
        <a:xfrm>
          <a:off x="374118" y="7353742"/>
          <a:ext cx="8325172" cy="636052"/>
        </a:xfrm>
        <a:prstGeom prst="flowChartAlternateProcess">
          <a:avLst/>
        </a:prstGeom>
        <a:solidFill>
          <a:schemeClr val="accent2">
            <a:alpha val="3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56616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713232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69848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426464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783080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139696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496312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2852928" algn="l" defTabSz="713232" rtl="0" eaLnBrk="1" latinLnBrk="0" hangingPunct="1">
            <a:defRPr sz="1404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>
              <a:solidFill>
                <a:schemeClr val="tx1"/>
              </a:solidFill>
            </a:rPr>
            <a:t> </a:t>
          </a:r>
        </a:p>
      </xdr:txBody>
    </xdr:sp>
    <xdr:clientData/>
  </xdr:twoCellAnchor>
  <xdr:twoCellAnchor editAs="oneCell">
    <xdr:from>
      <xdr:col>1</xdr:col>
      <xdr:colOff>3483428</xdr:colOff>
      <xdr:row>1</xdr:row>
      <xdr:rowOff>54430</xdr:rowOff>
    </xdr:from>
    <xdr:to>
      <xdr:col>1</xdr:col>
      <xdr:colOff>4865914</xdr:colOff>
      <xdr:row>8</xdr:row>
      <xdr:rowOff>43543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824CCAD4-CF8B-40EF-B849-AA2AD90D1F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3914" y="228601"/>
          <a:ext cx="1382486" cy="1208313"/>
        </a:xfrm>
        <a:prstGeom prst="rect">
          <a:avLst/>
        </a:prstGeom>
      </xdr:spPr>
    </xdr:pic>
    <xdr:clientData/>
  </xdr:twoCellAnchor>
  <xdr:twoCellAnchor>
    <xdr:from>
      <xdr:col>1</xdr:col>
      <xdr:colOff>2242457</xdr:colOff>
      <xdr:row>8</xdr:row>
      <xdr:rowOff>141514</xdr:rowOff>
    </xdr:from>
    <xdr:to>
      <xdr:col>1</xdr:col>
      <xdr:colOff>5965371</xdr:colOff>
      <xdr:row>12</xdr:row>
      <xdr:rowOff>108421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E8058AC6-C114-4745-AABD-005A9698FD81}"/>
            </a:ext>
          </a:extLst>
        </xdr:cNvPr>
        <xdr:cNvSpPr/>
      </xdr:nvSpPr>
      <xdr:spPr>
        <a:xfrm>
          <a:off x="2862943" y="1534885"/>
          <a:ext cx="3722914" cy="66359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>
          <a:defPPr>
            <a:defRPr lang="en-US"/>
          </a:defPPr>
          <a:lvl1pPr marL="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4864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9728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4592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9456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74320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9184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4048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89120" algn="l" defTabSz="1097280" rtl="0" eaLnBrk="1" latinLnBrk="0" hangingPunct="1">
            <a:defRPr sz="21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cap="none" spc="0" baseline="0">
              <a:ln w="9525">
                <a:noFill/>
                <a:prstDash val="solid"/>
              </a:ln>
              <a:solidFill>
                <a:srgbClr val="752157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ADAMA</a:t>
          </a:r>
          <a:r>
            <a:rPr lang="ru-RU" sz="2800" b="1" cap="none" spc="0" baseline="0">
              <a:ln w="9525">
                <a:noFill/>
                <a:prstDash val="solid"/>
              </a:ln>
              <a:solidFill>
                <a:srgbClr val="752157"/>
              </a:solidFill>
              <a:effectLst/>
              <a:latin typeface="Arial Black" panose="020B0A04020102020204" pitchFamily="34" charset="0"/>
              <a:cs typeface="Arial" panose="020B0604020202020204" pitchFamily="34" charset="0"/>
            </a:rPr>
            <a:t> ПРОФІ</a:t>
          </a:r>
          <a:endParaRPr lang="en-US" sz="2800" b="1" cap="none" spc="0">
            <a:ln w="9525">
              <a:noFill/>
              <a:prstDash val="solid"/>
            </a:ln>
            <a:solidFill>
              <a:srgbClr val="752157"/>
            </a:solidFill>
            <a:effectLst/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20</xdr:col>
      <xdr:colOff>224678</xdr:colOff>
      <xdr:row>36</xdr:row>
      <xdr:rowOff>17929</xdr:rowOff>
    </xdr:to>
    <xdr:pic>
      <xdr:nvPicPr>
        <xdr:cNvPr id="2" name="Рисунок 1" descr="Автоматично створений текст заміщення:&#10;Home &#10;roCTVIHHlCTb — &#10;3Bh'lHA PI&quot;. &#10;LEXUS n &#10;nEPEOCMhCf1hB. &#10;CELEORATING &#10;30- &#10;Kyp. &#10;APXVIB KYPCOB HA 11/25/19 &#10;Hog Upb &#10;5 &#10;12 &#10;19 &#10;26 &#10;2019 &#10;7 &#10;14 &#10;21 &#10;28 &#10;P03CPOMKY &#10;3 KYPCOM &#10;HE PV13VlKyü &#10;goe„ABTorPAQ &#10;3 &#10;10 &#10;17 &#10;24 &#10;11 &#10;25 &#10;6 &#10;13 &#10;20 &#10;27 &#10;8 &#10;15 &#10;22 &#10;29 &#10;2 &#10;9 &#10;16 &#10;23 &#10;30 &#10;USO • &#10;CpeAHe6aHKOBCKu1i O &#10;K0MMepyecKMh &#10;Mex6aHK &#10;HEY &#10;Mex6aHK (3aKpblT'4e) &#10;VISA &#10;MasterCard &#10;MeXAyHap0AHblü &#10;uAH. rpæ-4A &#10;Kypc &#10;23.9473 / 24.2864 &#10;24.0550 &#10;24.0400 / 24.0500 &#10;24.164262 &#10;24.0000 1 &#10;24.0801 / 24.1300 &#10;23.9802 / 24.0477 &#10;24.0434 &#10;MEK5AHK &#10;24 &#10;23.95 &#10;23.9 &#10;26.11 &#10;06H0BneH0 13:45 &#10;EUR &#10;12.00 &#10;nnATHS1&quot; AOCTYn &#10;RUB &#10;O freshfo &#10;rpA@YIK KYPCOB BAf10T &#10;AOCMlHblE ECN-OIETA &#10;6E3 MMHVIMAflbHOro Aff103MTA &#10;30 AH &#10;USO &#10;BCe &#10;nOAP06HEE &#10;uAH - &#10;KYPC &#10;nozu:06Hee ApxH8 &#10;ox &#10;Mactuva6 12 qac &#10;AH &#10;7 AH &#10;KBapTv1pa 3a 574750 &#10;rpH B Km€Bi &#10;KapagaeBi Aaqi &#10;pah0H. Ao qeHTpa &#10;Micra 10 XB. &#10;roCTHHHlCTb — &#10;3BV1'4HA PIM. &#10;LEXUS Il &#10;CELEBRATING &#10;c.grry€M0 ">
          <a:extLst>
            <a:ext uri="{FF2B5EF4-FFF2-40B4-BE49-F238E27FC236}">
              <a16:creationId xmlns:a16="http://schemas.microsoft.com/office/drawing/2014/main" id="{75270453-01C5-41CD-BCDB-D4581777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416678" cy="6685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cmegroup.com/trading/agricultural/grain-and-oilseed/corn_quotes_settlements_futures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live.euronext.com/en/product/commodities-futures/EBM-DPAR" TargetMode="External"/><Relationship Id="rId1" Type="http://schemas.openxmlformats.org/officeDocument/2006/relationships/hyperlink" Target="https://www.barchart.com/futures/quotes/E6H20/futures-pric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live.euronext.com/en/product/commodities-futures/EBM-DPAR" TargetMode="External"/><Relationship Id="rId4" Type="http://schemas.openxmlformats.org/officeDocument/2006/relationships/hyperlink" Target="https://www.cmegroup.com/trading/agricultural/grain-and-oilseed/corn_quotes_settlements_futures.html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ur03.safelinks.protection.outlook.com/?url=https%3A%2F%2Fwww.barchart.com%2Ffutures%2Fquotes%2FE6H20%2Ffutures-prices&amp;data=02%7C01%7Croman.novak%40adama.com%7C1356bd27e68a42416fba08d79808dae3%7Cbd8f87a0d05d46c4a975e326112a909a%7C0%7C0%7C637145036113285013&amp;sdata=%2BUIyn4%2F0ydFpUbCfRaea9Xo6nwQd%2BRXRljwL8BL1x7U%3D&amp;reserved=0" TargetMode="External"/><Relationship Id="rId7" Type="http://schemas.openxmlformats.org/officeDocument/2006/relationships/hyperlink" Target="https://www.barchart.com/futures/quotes/E6Z21/overview" TargetMode="External"/><Relationship Id="rId2" Type="http://schemas.openxmlformats.org/officeDocument/2006/relationships/hyperlink" Target="https://live.euronext.com/en/product/commodities-futures/EBM-DPAR" TargetMode="External"/><Relationship Id="rId1" Type="http://schemas.openxmlformats.org/officeDocument/2006/relationships/hyperlink" Target="http://www.cmegroup.com/trading/agricultural/grain-and-oilseed/corn_quotes_settlements_futures.html" TargetMode="External"/><Relationship Id="rId6" Type="http://schemas.openxmlformats.org/officeDocument/2006/relationships/hyperlink" Target="https://www.barchart.com/futures/quotes/E6U21/overview" TargetMode="External"/><Relationship Id="rId5" Type="http://schemas.openxmlformats.org/officeDocument/2006/relationships/hyperlink" Target="https://www.barchart.com/futures/quotes/E6M21/overview" TargetMode="External"/><Relationship Id="rId4" Type="http://schemas.openxmlformats.org/officeDocument/2006/relationships/hyperlink" Target="https://www.barchart.com/futures/quotes/E6U20/overview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1507-ADC9-4499-B16D-924494D113FE}">
  <sheetPr>
    <pageSetUpPr fitToPage="1"/>
  </sheetPr>
  <dimension ref="A1:J46"/>
  <sheetViews>
    <sheetView tabSelected="1" topLeftCell="A10" zoomScaleNormal="100" workbookViewId="0">
      <selection activeCell="D16" sqref="D16"/>
    </sheetView>
  </sheetViews>
  <sheetFormatPr defaultColWidth="9.140625" defaultRowHeight="14.25" outlineLevelRow="1" outlineLevelCol="1" x14ac:dyDescent="0.2"/>
  <cols>
    <col min="1" max="1" width="9.140625" style="22"/>
    <col min="2" max="2" width="100" style="23" customWidth="1"/>
    <col min="3" max="3" width="66" style="23" hidden="1" customWidth="1" outlineLevel="1"/>
    <col min="4" max="4" width="17.7109375" style="23" bestFit="1" customWidth="1" collapsed="1"/>
    <col min="5" max="5" width="9.140625" style="23"/>
    <col min="6" max="6" width="36" style="23" hidden="1" customWidth="1" outlineLevel="1"/>
    <col min="7" max="7" width="22.7109375" style="23" hidden="1" customWidth="1" outlineLevel="1"/>
    <col min="8" max="8" width="36" style="23" hidden="1" customWidth="1" outlineLevel="1"/>
    <col min="9" max="9" width="22.7109375" style="23" hidden="1" customWidth="1" outlineLevel="1"/>
    <col min="10" max="10" width="9.140625" style="23" collapsed="1"/>
    <col min="11" max="16384" width="9.140625" style="23"/>
  </cols>
  <sheetData>
    <row r="1" spans="2:7" x14ac:dyDescent="0.2">
      <c r="B1" s="63"/>
      <c r="C1" s="63"/>
      <c r="D1" s="63"/>
    </row>
    <row r="2" spans="2:7" x14ac:dyDescent="0.2">
      <c r="B2" s="63"/>
      <c r="C2" s="63"/>
      <c r="D2" s="63"/>
    </row>
    <row r="3" spans="2:7" x14ac:dyDescent="0.2">
      <c r="B3" s="63"/>
      <c r="C3" s="63"/>
      <c r="D3" s="63"/>
    </row>
    <row r="4" spans="2:7" x14ac:dyDescent="0.2">
      <c r="B4" s="63"/>
      <c r="C4" s="63"/>
      <c r="D4" s="63"/>
      <c r="F4" s="23" t="s">
        <v>28</v>
      </c>
      <c r="G4" s="24">
        <v>0.3938625</v>
      </c>
    </row>
    <row r="5" spans="2:7" x14ac:dyDescent="0.2">
      <c r="B5" s="63"/>
      <c r="C5" s="63"/>
      <c r="D5" s="63"/>
    </row>
    <row r="6" spans="2:7" x14ac:dyDescent="0.2">
      <c r="B6" s="63"/>
      <c r="C6" s="63"/>
      <c r="D6" s="63"/>
    </row>
    <row r="7" spans="2:7" x14ac:dyDescent="0.2">
      <c r="B7" s="63"/>
      <c r="C7" s="63"/>
      <c r="D7" s="63"/>
    </row>
    <row r="8" spans="2:7" x14ac:dyDescent="0.2">
      <c r="B8" s="63"/>
      <c r="C8" s="63"/>
      <c r="D8" s="63"/>
    </row>
    <row r="9" spans="2:7" x14ac:dyDescent="0.2">
      <c r="B9" s="63"/>
      <c r="C9" s="63"/>
      <c r="D9" s="63"/>
    </row>
    <row r="10" spans="2:7" x14ac:dyDescent="0.2">
      <c r="B10" s="63"/>
      <c r="C10" s="63"/>
      <c r="D10" s="63"/>
      <c r="F10" s="25" t="s">
        <v>34</v>
      </c>
    </row>
    <row r="11" spans="2:7" x14ac:dyDescent="0.2">
      <c r="B11" s="63"/>
      <c r="C11" s="63"/>
      <c r="D11" s="63"/>
    </row>
    <row r="12" spans="2:7" x14ac:dyDescent="0.2">
      <c r="B12" s="63"/>
      <c r="C12" s="63"/>
      <c r="D12" s="63"/>
    </row>
    <row r="13" spans="2:7" x14ac:dyDescent="0.2">
      <c r="B13" s="63"/>
      <c r="C13" s="63"/>
      <c r="D13" s="63"/>
    </row>
    <row r="14" spans="2:7" ht="18" x14ac:dyDescent="0.25">
      <c r="B14" s="49" t="s">
        <v>73</v>
      </c>
      <c r="C14" s="49" t="s">
        <v>16</v>
      </c>
      <c r="D14" s="50" t="s">
        <v>11</v>
      </c>
    </row>
    <row r="15" spans="2:7" ht="18" x14ac:dyDescent="0.25">
      <c r="B15" s="49" t="s">
        <v>91</v>
      </c>
      <c r="C15" s="49"/>
      <c r="D15" s="50" t="s">
        <v>92</v>
      </c>
    </row>
    <row r="16" spans="2:7" ht="18" x14ac:dyDescent="0.25">
      <c r="B16" s="49" t="s">
        <v>39</v>
      </c>
      <c r="C16" s="49" t="s">
        <v>35</v>
      </c>
      <c r="D16" s="51">
        <v>100000</v>
      </c>
    </row>
    <row r="17" spans="1:9" ht="18" x14ac:dyDescent="0.25">
      <c r="B17" s="49" t="s">
        <v>63</v>
      </c>
      <c r="C17" s="49" t="s">
        <v>64</v>
      </c>
      <c r="D17" s="51">
        <v>100000</v>
      </c>
    </row>
    <row r="18" spans="1:9" ht="18" x14ac:dyDescent="0.25">
      <c r="B18" s="49" t="str">
        <f>IF($D$14=inputs!$A$2,"_",Аркуш1!F18)</f>
        <v>Очікуваний крос-курс  (EUR/USD)</v>
      </c>
      <c r="C18" s="49" t="str">
        <f>IF($D$14=inputs!$A$2,"_",Аркуш1!G18)</f>
        <v>Expected FX rate (EUR/USD)</v>
      </c>
      <c r="D18" s="52">
        <f>IF($D$14=inputs!$A$2,"_",inputs!B9)</f>
        <v>1.18085</v>
      </c>
      <c r="F18" s="26" t="s">
        <v>37</v>
      </c>
      <c r="G18" s="23" t="s">
        <v>38</v>
      </c>
    </row>
    <row r="19" spans="1:9" ht="18" x14ac:dyDescent="0.25">
      <c r="B19" s="49" t="str">
        <f>IF($D$14=inputs!$A$2,Аркуш1!H19,Аркуш1!F19)</f>
        <v>Початкова ціна  (EUR/mt)*</v>
      </c>
      <c r="C19" s="49" t="str">
        <f>IF($D$14=inputs!$A$2,Аркуш1!I19,Аркуш1!G19)</f>
        <v>Start price (EUR/mt)</v>
      </c>
      <c r="D19" s="51">
        <v>385</v>
      </c>
      <c r="F19" s="26" t="s">
        <v>80</v>
      </c>
      <c r="G19" s="23" t="s">
        <v>5</v>
      </c>
      <c r="H19" s="26" t="s">
        <v>82</v>
      </c>
      <c r="I19" s="23" t="s">
        <v>47</v>
      </c>
    </row>
    <row r="20" spans="1:9" ht="18" x14ac:dyDescent="0.25">
      <c r="B20" s="49" t="str">
        <f>IF($D$14=inputs!$A$2,Аркуш1!H20,Аркуш1!F20)</f>
        <v>Кінцева ціна  (EUR/mt)*</v>
      </c>
      <c r="C20" s="49" t="str">
        <f>IF($D$14=inputs!$A$2,Аркуш1!I20,Аркуш1!G20)</f>
        <v>End price (EUR/mt)</v>
      </c>
      <c r="D20" s="51">
        <v>375</v>
      </c>
      <c r="F20" s="26" t="s">
        <v>81</v>
      </c>
      <c r="G20" s="23" t="s">
        <v>6</v>
      </c>
      <c r="H20" s="26" t="s">
        <v>83</v>
      </c>
      <c r="I20" s="23" t="s">
        <v>29</v>
      </c>
    </row>
    <row r="21" spans="1:9" ht="18" x14ac:dyDescent="0.25">
      <c r="B21" s="49" t="str">
        <f>IF($D$14=inputs!$A$2,Аркуш1!H27,Аркуш1!F27)</f>
        <v>Курс  (EUR/UAH)</v>
      </c>
      <c r="C21" s="49" t="str">
        <f>IF($D$14=inputs!$A$2,Аркуш1!I27,Аркуш1!G27)</f>
        <v>FX rate (EUR/UAH)</v>
      </c>
      <c r="D21" s="51">
        <v>27.74</v>
      </c>
    </row>
    <row r="22" spans="1:9" ht="30.75" customHeight="1" x14ac:dyDescent="0.2">
      <c r="A22" s="39" t="s">
        <v>85</v>
      </c>
      <c r="B22" s="40" t="str">
        <f>IF($D$14=inputs!$A$2,Аркуш1!H22,Аркуш1!F22)</f>
        <v>https://live.euronext.com/en/product/commodities-futures/EBM-DPAR</v>
      </c>
      <c r="C22" s="41"/>
      <c r="D22" s="41"/>
      <c r="F22" s="27" t="s">
        <v>31</v>
      </c>
      <c r="H22" s="28" t="s">
        <v>84</v>
      </c>
    </row>
    <row r="23" spans="1:9" x14ac:dyDescent="0.2">
      <c r="A23" s="42"/>
      <c r="B23" s="53" t="s">
        <v>36</v>
      </c>
      <c r="C23" s="53" t="s">
        <v>70</v>
      </c>
      <c r="D23" s="54">
        <f>D16*1.2</f>
        <v>120000</v>
      </c>
    </row>
    <row r="24" spans="1:9" x14ac:dyDescent="0.2">
      <c r="A24" s="42"/>
      <c r="B24" s="53" t="s">
        <v>65</v>
      </c>
      <c r="C24" s="53" t="s">
        <v>69</v>
      </c>
      <c r="D24" s="54">
        <f>D17*1.2</f>
        <v>120000</v>
      </c>
    </row>
    <row r="25" spans="1:9" ht="15" x14ac:dyDescent="0.2">
      <c r="A25" s="43"/>
      <c r="B25" s="55" t="s">
        <v>0</v>
      </c>
      <c r="C25" s="56" t="s">
        <v>3</v>
      </c>
      <c r="D25" s="57">
        <f>IF(D14=inputs!A2,inputs!E2,IF(D14=inputs!A3,inputs!E3,inputs!E4))</f>
        <v>44218</v>
      </c>
    </row>
    <row r="26" spans="1:9" ht="15" x14ac:dyDescent="0.2">
      <c r="A26" s="43"/>
      <c r="B26" s="55" t="s">
        <v>1</v>
      </c>
      <c r="C26" s="56" t="s">
        <v>4</v>
      </c>
      <c r="D26" s="57">
        <f>IF(D14=inputs!A2,inputs!F2,IF(D14=inputs!A3,inputs!F3,inputs!F4))</f>
        <v>44424</v>
      </c>
    </row>
    <row r="27" spans="1:9" ht="15" x14ac:dyDescent="0.2">
      <c r="A27" s="43"/>
      <c r="B27" s="55" t="str">
        <f>IF($D$14=inputs!$A$2,Аркуш1!H27,Аркуш1!F27)</f>
        <v>Курс  (EUR/UAH)</v>
      </c>
      <c r="C27" s="55" t="str">
        <f>IF($D$14=inputs!$A$2,Аркуш1!I27,Аркуш1!G27)</f>
        <v>FX rate (EUR/UAH)</v>
      </c>
      <c r="D27" s="58">
        <f>D21</f>
        <v>27.74</v>
      </c>
      <c r="F27" s="26" t="s">
        <v>44</v>
      </c>
      <c r="G27" s="23" t="s">
        <v>42</v>
      </c>
      <c r="H27" s="26" t="s">
        <v>45</v>
      </c>
      <c r="I27" s="23" t="s">
        <v>43</v>
      </c>
    </row>
    <row r="28" spans="1:9" ht="15" x14ac:dyDescent="0.2">
      <c r="A28" s="43"/>
      <c r="B28" s="55" t="str">
        <f>IF($D$14=inputs!$A$2,Аркуш1!H28,Аркуш1!F28)</f>
        <v>Початкова ціна, Європейська товарна біржа  (EUR/mt)</v>
      </c>
      <c r="C28" s="55" t="str">
        <f>IF($D$14=inputs!$A$2,Аркуш1!I28,Аркуш1!G28)</f>
        <v>Start price (EUR/mt)</v>
      </c>
      <c r="D28" s="58">
        <f>IF($D$14=inputs!$A$2,ROUND(D19*$G$4,2),D19)</f>
        <v>385</v>
      </c>
      <c r="F28" s="26" t="s">
        <v>78</v>
      </c>
      <c r="G28" s="23" t="s">
        <v>5</v>
      </c>
      <c r="H28" s="26" t="s">
        <v>76</v>
      </c>
      <c r="I28" s="23" t="s">
        <v>20</v>
      </c>
    </row>
    <row r="29" spans="1:9" ht="15" x14ac:dyDescent="0.2">
      <c r="A29" s="43"/>
      <c r="B29" s="55" t="str">
        <f>IF($D$14=inputs!$A$2,Аркуш1!H29,Аркуш1!F29)</f>
        <v>Кінцева ціна, Європейська товарна біржа  (EUR/mt)</v>
      </c>
      <c r="C29" s="55" t="str">
        <f>IF($D$14=inputs!$A$2,Аркуш1!I29,Аркуш1!G29)</f>
        <v>End price (EUR/mt)</v>
      </c>
      <c r="D29" s="58">
        <f>IF($D$14=inputs!$A$2,ROUND(D20*$G$4,2),D20)</f>
        <v>375</v>
      </c>
      <c r="F29" s="26" t="s">
        <v>79</v>
      </c>
      <c r="G29" s="23" t="s">
        <v>6</v>
      </c>
      <c r="H29" s="26" t="s">
        <v>77</v>
      </c>
      <c r="I29" s="23" t="s">
        <v>21</v>
      </c>
    </row>
    <row r="30" spans="1:9" ht="15" x14ac:dyDescent="0.2">
      <c r="A30" s="43"/>
      <c r="B30" s="44"/>
      <c r="C30" s="45"/>
      <c r="D30" s="46"/>
    </row>
    <row r="31" spans="1:9" ht="15" x14ac:dyDescent="0.2">
      <c r="A31" s="64"/>
      <c r="B31" s="44"/>
      <c r="C31" s="45"/>
      <c r="D31" s="47"/>
    </row>
    <row r="32" spans="1:9" ht="15" x14ac:dyDescent="0.2">
      <c r="A32" s="64"/>
      <c r="B32" s="55" t="str">
        <f>IF($D$14=inputs!$A$2,Аркуш1!H32,Аркуш1!F32)</f>
        <v>Об'єм ПРОФІ (EUR) З ПДВ</v>
      </c>
      <c r="C32" s="55" t="str">
        <f>IF($D$14=inputs!$A$2,Аркуш1!I32,Аркуш1!G32)</f>
        <v>Hedge volume , (EUR) inc.VAT</v>
      </c>
      <c r="D32" s="59">
        <f>IF($D$14=inputs!$A$2,D24,D24/D18)</f>
        <v>101621.71317271458</v>
      </c>
      <c r="F32" s="26" t="s">
        <v>74</v>
      </c>
      <c r="G32" s="23" t="s">
        <v>66</v>
      </c>
      <c r="H32" s="26" t="s">
        <v>75</v>
      </c>
      <c r="I32" s="23" t="s">
        <v>71</v>
      </c>
    </row>
    <row r="33" spans="1:9" ht="18.75" customHeight="1" x14ac:dyDescent="0.2">
      <c r="A33" s="64"/>
      <c r="B33" s="55" t="s">
        <v>2</v>
      </c>
      <c r="C33" s="56" t="s">
        <v>7</v>
      </c>
      <c r="D33" s="60">
        <f>ROUND(D32/D28,3)</f>
        <v>263.95299999999997</v>
      </c>
      <c r="E33" s="34"/>
    </row>
    <row r="34" spans="1:9" ht="15" x14ac:dyDescent="0.2">
      <c r="A34" s="48"/>
      <c r="B34" s="44"/>
      <c r="C34" s="45"/>
      <c r="D34" s="46"/>
    </row>
    <row r="35" spans="1:9" ht="15.75" customHeight="1" x14ac:dyDescent="0.2">
      <c r="A35" s="64"/>
      <c r="B35" s="55" t="str">
        <f>IF($D$14=inputs!$A$2,Аркуш1!H35,Аркуш1!F35)</f>
        <v xml:space="preserve">Зміна ціни на товар  (Пшениця),% </v>
      </c>
      <c r="C35" s="55" t="str">
        <f>IF($D$14=inputs!$A$2,Аркуш1!I35,Аркуш1!G35)</f>
        <v>Change in the price of goods ,%</v>
      </c>
      <c r="D35" s="61">
        <f>ROUND((D29/D28-1),4)</f>
        <v>-2.5999999999999999E-2</v>
      </c>
      <c r="F35" s="26" t="str">
        <f>CONCATENATE("Зміна ціни на товар","  (",D14,"),% ")</f>
        <v xml:space="preserve">Зміна ціни на товар  (Пшениця),% </v>
      </c>
      <c r="G35" s="23" t="s">
        <v>72</v>
      </c>
      <c r="H35" s="26" t="str">
        <f>CONCATENATE("Зміна ціни на товар","  (",D14,"),% ")</f>
        <v xml:space="preserve">Зміна ціни на товар  (Пшениця),% </v>
      </c>
      <c r="I35" s="23" t="s">
        <v>72</v>
      </c>
    </row>
    <row r="36" spans="1:9" ht="15" x14ac:dyDescent="0.2">
      <c r="A36" s="64"/>
      <c r="B36" s="55" t="s">
        <v>32</v>
      </c>
      <c r="C36" s="56" t="s">
        <v>68</v>
      </c>
      <c r="D36" s="61">
        <f>IF(F36&gt;30%,30%,F36)</f>
        <v>2.5999999999999999E-2</v>
      </c>
      <c r="F36" s="36">
        <f>IF(D28&gt;D29,ROUND((1-D29/D28),4),0)*(D24/D23)</f>
        <v>2.5999999999999999E-2</v>
      </c>
      <c r="G36" s="37">
        <f>IF(D28&gt;=D29,ROUND((ROUND(1-(D29/D28),4)*D24),2),0)</f>
        <v>3120</v>
      </c>
    </row>
    <row r="37" spans="1:9" ht="15" x14ac:dyDescent="0.2">
      <c r="A37" s="64"/>
      <c r="B37" s="55" t="str">
        <f>F37</f>
        <v>Дисконт (USD) з ПДВ</v>
      </c>
      <c r="C37" s="55" t="str">
        <f>G37</f>
        <v>Discount (USD)  inc.VAT</v>
      </c>
      <c r="D37" s="62">
        <f>ROUND(D36*D23,2)</f>
        <v>3120</v>
      </c>
      <c r="F37" s="30" t="s">
        <v>40</v>
      </c>
      <c r="G37" s="31" t="s">
        <v>67</v>
      </c>
      <c r="H37" s="31" t="s">
        <v>41</v>
      </c>
      <c r="I37" s="31" t="s">
        <v>41</v>
      </c>
    </row>
    <row r="38" spans="1:9" hidden="1" outlineLevel="1" x14ac:dyDescent="0.2">
      <c r="A38" s="29"/>
      <c r="B38" s="31"/>
      <c r="C38" s="31"/>
      <c r="D38" s="33"/>
    </row>
    <row r="39" spans="1:9" ht="15" hidden="1" outlineLevel="1" x14ac:dyDescent="0.2">
      <c r="A39" s="65" t="s">
        <v>50</v>
      </c>
      <c r="B39" s="30" t="str">
        <f>IF($D$14=inputs!$A$2,Аркуш1!H39,Аркуш1!F39)</f>
        <v>Вартість  опціону (EUR)</v>
      </c>
      <c r="C39" s="30" t="str">
        <f>IF($D$14=inputs!$A$2,Аркуш1!I39,Аркуш1!G39)</f>
        <v>Options Cost (EUR)</v>
      </c>
      <c r="D39" s="32">
        <v>9</v>
      </c>
      <c r="F39" s="23" t="s">
        <v>22</v>
      </c>
      <c r="G39" s="23" t="s">
        <v>23</v>
      </c>
      <c r="H39" s="23" t="s">
        <v>24</v>
      </c>
      <c r="I39" s="23" t="s">
        <v>25</v>
      </c>
    </row>
    <row r="40" spans="1:9" hidden="1" outlineLevel="1" x14ac:dyDescent="0.2">
      <c r="A40" s="65"/>
      <c r="B40" s="31" t="s">
        <v>26</v>
      </c>
      <c r="C40" s="31" t="s">
        <v>27</v>
      </c>
      <c r="D40" s="35">
        <f>(D39/D28)*(D24/D23)</f>
        <v>2.3376623376623377E-2</v>
      </c>
    </row>
    <row r="41" spans="1:9" hidden="1" outlineLevel="1" x14ac:dyDescent="0.2">
      <c r="A41" s="65"/>
      <c r="B41" s="23" t="s">
        <v>49</v>
      </c>
      <c r="C41" s="31" t="s">
        <v>48</v>
      </c>
      <c r="D41" s="38">
        <f>ROUND(IF($D$14=inputs!$A$2,D33/inputs!G2,D33/inputs!G3),)</f>
        <v>5</v>
      </c>
      <c r="H41" s="34"/>
      <c r="I41" s="34"/>
    </row>
    <row r="42" spans="1:9" hidden="1" outlineLevel="1" x14ac:dyDescent="0.2"/>
    <row r="43" spans="1:9" collapsed="1" x14ac:dyDescent="0.2">
      <c r="D43" s="37"/>
      <c r="H43" s="34"/>
      <c r="I43" s="34"/>
    </row>
    <row r="44" spans="1:9" x14ac:dyDescent="0.2">
      <c r="B44" s="25" t="s">
        <v>86</v>
      </c>
      <c r="D44" s="41" t="s">
        <v>8</v>
      </c>
    </row>
    <row r="45" spans="1:9" x14ac:dyDescent="0.2">
      <c r="B45" s="25" t="s">
        <v>31</v>
      </c>
      <c r="D45" s="41" t="s">
        <v>11</v>
      </c>
    </row>
    <row r="46" spans="1:9" x14ac:dyDescent="0.2">
      <c r="B46" s="25" t="s">
        <v>33</v>
      </c>
      <c r="D46" s="41" t="s">
        <v>14</v>
      </c>
    </row>
  </sheetData>
  <sheetProtection algorithmName="SHA-512" hashValue="O0h1uN3StzrfxE3W+5kwY+5wBf+YK2+7d8vXegk/DFBfpePywhb8BrbnCXlS4eAlbo5micwQzJhBrL4wmw0AUQ==" saltValue="oFortbxKYTD6D/v2leZCyw==" spinCount="100000" sheet="1" objects="1" scenarios="1"/>
  <mergeCells count="3">
    <mergeCell ref="A31:A33"/>
    <mergeCell ref="A39:A41"/>
    <mergeCell ref="A35:A37"/>
  </mergeCells>
  <dataValidations count="1">
    <dataValidation type="whole" allowBlank="1" showInputMessage="1" showErrorMessage="1" sqref="D17" xr:uid="{C8220828-E618-4C67-A517-0DD04BF67DA6}">
      <formula1>10000</formula1>
      <formula2>D16</formula2>
    </dataValidation>
  </dataValidations>
  <hyperlinks>
    <hyperlink ref="F10" r:id="rId1" xr:uid="{F6607FE2-A680-4D8A-A3D8-0DD9883CA9BB}"/>
    <hyperlink ref="F22" r:id="rId2" xr:uid="{3B6B2AD9-E735-4F18-8E1A-D4B98C48EA01}"/>
    <hyperlink ref="H22" r:id="rId3" xr:uid="{E276F5CB-C49B-417C-A569-018877F53CCD}"/>
    <hyperlink ref="B44" r:id="rId4" xr:uid="{0BD3A8E4-1EAC-4251-B9E9-F811D3CA31C8}"/>
    <hyperlink ref="B45" r:id="rId5" xr:uid="{FFFDF12A-67CD-44D9-994E-3643DFF8598C}"/>
  </hyperlinks>
  <pageMargins left="0.7" right="0.7" top="0.75" bottom="0.75" header="0.3" footer="0.3"/>
  <pageSetup paperSize="9" scale="64" orientation="portrait" r:id="rId6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D06E1C-9903-46A2-9705-5DF47E0D734A}">
          <x14:formula1>
            <xm:f>inputs!$A$2:$A$4</xm:f>
          </x14:formula1>
          <xm:sqref>D14</xm:sqref>
        </x14:dataValidation>
        <x14:dataValidation type="list" allowBlank="1" showInputMessage="1" showErrorMessage="1" xr:uid="{5E856DBC-37BD-47BB-AEED-52FD0D3F43AE}">
          <x14:formula1>
            <xm:f>inputs!$D$7:$D$9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3FEE-D7E6-4DE4-8012-87AB4824BC8D}">
  <dimension ref="A1:K17"/>
  <sheetViews>
    <sheetView workbookViewId="0">
      <selection activeCell="B18" sqref="B18"/>
    </sheetView>
  </sheetViews>
  <sheetFormatPr defaultColWidth="9.140625" defaultRowHeight="15" x14ac:dyDescent="0.25"/>
  <cols>
    <col min="1" max="1" width="24.28515625" style="1" customWidth="1"/>
    <col min="2" max="2" width="9.28515625" style="1" bestFit="1" customWidth="1"/>
    <col min="3" max="3" width="12" style="1" customWidth="1"/>
    <col min="4" max="4" width="12.28515625" style="1" customWidth="1"/>
    <col min="5" max="5" width="16.5703125" style="1" customWidth="1"/>
    <col min="6" max="6" width="15.5703125" style="1" customWidth="1"/>
    <col min="7" max="7" width="16.7109375" style="1" customWidth="1"/>
    <col min="8" max="16384" width="9.140625" style="1"/>
  </cols>
  <sheetData>
    <row r="1" spans="1:11" ht="17.25" thickBot="1" x14ac:dyDescent="0.35">
      <c r="E1" s="2" t="s">
        <v>3</v>
      </c>
      <c r="F1" s="2" t="s">
        <v>4</v>
      </c>
      <c r="G1" s="1" t="s">
        <v>46</v>
      </c>
    </row>
    <row r="2" spans="1:11" ht="15.75" thickBot="1" x14ac:dyDescent="0.3">
      <c r="A2" s="3" t="s">
        <v>8</v>
      </c>
      <c r="B2" s="4" t="s">
        <v>9</v>
      </c>
      <c r="C2" s="4" t="s">
        <v>10</v>
      </c>
      <c r="D2" s="1" t="s">
        <v>18</v>
      </c>
      <c r="E2" s="21">
        <f>VLOOKUP(Аркуш1!$D$15,inputs!$D$7:$G$9,2,)</f>
        <v>44218</v>
      </c>
      <c r="F2" s="5">
        <v>44459</v>
      </c>
      <c r="G2" s="1">
        <f>5000*0.3936825/100</f>
        <v>19.684124999999998</v>
      </c>
      <c r="H2" s="6" t="s">
        <v>30</v>
      </c>
    </row>
    <row r="3" spans="1:11" ht="30.75" thickBot="1" x14ac:dyDescent="0.3">
      <c r="A3" s="3" t="s">
        <v>11</v>
      </c>
      <c r="B3" s="4" t="s">
        <v>12</v>
      </c>
      <c r="C3" s="4" t="s">
        <v>13</v>
      </c>
      <c r="D3" s="1" t="s">
        <v>19</v>
      </c>
      <c r="E3" s="21">
        <f>VLOOKUP(Аркуш1!$D$15,inputs!$D$7:$G$9,3,)</f>
        <v>44218</v>
      </c>
      <c r="F3" s="5">
        <v>44424</v>
      </c>
      <c r="G3" s="1">
        <v>50</v>
      </c>
      <c r="H3" s="6" t="s">
        <v>31</v>
      </c>
    </row>
    <row r="4" spans="1:11" ht="30" x14ac:dyDescent="0.25">
      <c r="A4" s="3" t="s">
        <v>14</v>
      </c>
      <c r="B4" s="4" t="s">
        <v>12</v>
      </c>
      <c r="C4" s="4" t="s">
        <v>15</v>
      </c>
      <c r="D4" s="1" t="s">
        <v>19</v>
      </c>
      <c r="E4" s="21">
        <f>VLOOKUP(Аркуш1!$D$15,inputs!$D$7:$G$9,4,)</f>
        <v>44218</v>
      </c>
      <c r="F4" s="5">
        <v>44387</v>
      </c>
      <c r="G4" s="1">
        <v>50</v>
      </c>
      <c r="H4" s="6" t="s">
        <v>33</v>
      </c>
    </row>
    <row r="5" spans="1:11" ht="15.75" thickBot="1" x14ac:dyDescent="0.3"/>
    <row r="6" spans="1:11" ht="18" x14ac:dyDescent="0.25">
      <c r="E6" s="12" t="s">
        <v>8</v>
      </c>
      <c r="F6" s="12" t="s">
        <v>11</v>
      </c>
      <c r="G6" s="12" t="s">
        <v>14</v>
      </c>
    </row>
    <row r="7" spans="1:11" ht="18" x14ac:dyDescent="0.25">
      <c r="D7" s="20" t="s">
        <v>92</v>
      </c>
      <c r="E7" s="14">
        <v>44218</v>
      </c>
      <c r="F7" s="15">
        <v>44218</v>
      </c>
      <c r="G7" s="16">
        <v>44218</v>
      </c>
      <c r="H7" s="1" t="s">
        <v>17</v>
      </c>
    </row>
    <row r="8" spans="1:11" ht="18.75" thickBot="1" x14ac:dyDescent="0.3">
      <c r="D8" s="20" t="s">
        <v>93</v>
      </c>
      <c r="E8" s="17">
        <v>44362</v>
      </c>
      <c r="F8" s="13">
        <v>44301</v>
      </c>
      <c r="G8" s="18">
        <v>44301</v>
      </c>
      <c r="H8" s="6" t="s">
        <v>34</v>
      </c>
    </row>
    <row r="9" spans="1:11" ht="18.75" thickBot="1" x14ac:dyDescent="0.3">
      <c r="A9" s="7" t="s">
        <v>62</v>
      </c>
      <c r="B9" s="9">
        <f>IF(Аркуш1!D14=inputs!A4,B15,IF(Аркуш1!D14=inputs!A3,B16,B16))</f>
        <v>1.18085</v>
      </c>
      <c r="C9" s="9"/>
      <c r="D9" s="20" t="s">
        <v>94</v>
      </c>
      <c r="E9" s="17">
        <v>44362</v>
      </c>
      <c r="F9" s="19">
        <v>44331</v>
      </c>
      <c r="G9" s="18">
        <v>44301</v>
      </c>
    </row>
    <row r="14" spans="1:11" x14ac:dyDescent="0.25">
      <c r="A14" s="8" t="s">
        <v>51</v>
      </c>
      <c r="B14" s="8" t="s">
        <v>52</v>
      </c>
      <c r="C14" s="8" t="s">
        <v>53</v>
      </c>
      <c r="D14" s="8" t="s">
        <v>54</v>
      </c>
      <c r="E14" s="8" t="s">
        <v>55</v>
      </c>
      <c r="F14" s="8" t="s">
        <v>56</v>
      </c>
      <c r="G14" s="8" t="s">
        <v>57</v>
      </c>
      <c r="H14" s="8" t="s">
        <v>58</v>
      </c>
      <c r="I14" s="8" t="s">
        <v>59</v>
      </c>
      <c r="J14" s="8" t="s">
        <v>60</v>
      </c>
      <c r="K14" s="8" t="s">
        <v>61</v>
      </c>
    </row>
    <row r="15" spans="1:11" x14ac:dyDescent="0.25">
      <c r="A15" s="10" t="s">
        <v>88</v>
      </c>
      <c r="B15" s="9">
        <v>1.1806000000000001</v>
      </c>
      <c r="C15" s="9" t="s">
        <v>97</v>
      </c>
      <c r="D15" s="9" t="s">
        <v>98</v>
      </c>
      <c r="E15" s="9" t="s">
        <v>99</v>
      </c>
      <c r="F15" s="9" t="s">
        <v>96</v>
      </c>
      <c r="G15" s="9" t="s">
        <v>100</v>
      </c>
      <c r="H15" s="9">
        <v>7</v>
      </c>
      <c r="I15" s="9">
        <v>980</v>
      </c>
      <c r="J15" s="9" t="s">
        <v>101</v>
      </c>
      <c r="K15" s="11"/>
    </row>
    <row r="16" spans="1:11" x14ac:dyDescent="0.25">
      <c r="A16" s="10" t="s">
        <v>89</v>
      </c>
      <c r="B16" s="9">
        <v>1.18085</v>
      </c>
      <c r="C16" s="9" t="s">
        <v>102</v>
      </c>
      <c r="D16" s="9" t="s">
        <v>103</v>
      </c>
      <c r="E16" s="9" t="s">
        <v>104</v>
      </c>
      <c r="F16" s="9" t="s">
        <v>105</v>
      </c>
      <c r="G16" s="9" t="s">
        <v>106</v>
      </c>
      <c r="H16" s="9">
        <v>3</v>
      </c>
      <c r="I16" s="9">
        <v>1.1060000000000001</v>
      </c>
      <c r="J16" s="9" t="s">
        <v>95</v>
      </c>
      <c r="K16" s="11"/>
    </row>
    <row r="17" spans="1:11" x14ac:dyDescent="0.25">
      <c r="A17" s="10" t="s">
        <v>90</v>
      </c>
      <c r="B17" s="9">
        <v>1.1833</v>
      </c>
      <c r="C17" s="9" t="s">
        <v>107</v>
      </c>
      <c r="D17" s="9" t="s">
        <v>87</v>
      </c>
      <c r="E17" s="9" t="s">
        <v>108</v>
      </c>
      <c r="F17" s="9" t="s">
        <v>109</v>
      </c>
      <c r="G17" s="9" t="s">
        <v>110</v>
      </c>
      <c r="H17" s="9">
        <v>0</v>
      </c>
      <c r="I17" s="9">
        <v>1.28</v>
      </c>
      <c r="J17" s="9" t="s">
        <v>95</v>
      </c>
      <c r="K17" s="11"/>
    </row>
  </sheetData>
  <hyperlinks>
    <hyperlink ref="H2" r:id="rId1" xr:uid="{88F9731A-2565-4D4E-AF30-2C89C5AB4590}"/>
    <hyperlink ref="H3" r:id="rId2" xr:uid="{C2560B8E-92B6-4226-ABAE-869984FA17DC}"/>
    <hyperlink ref="H8" r:id="rId3" display="https://eur03.safelinks.protection.outlook.com/?url=https%3A%2F%2Fwww.barchart.com%2Ffutures%2Fquotes%2FE6H20%2Ffutures-prices&amp;data=02%7C01%7Croman.novak%40adama.com%7C1356bd27e68a42416fba08d79808dae3%7Cbd8f87a0d05d46c4a975e326112a909a%7C0%7C0%7C637145036113285013&amp;sdata=%2BUIyn4%2F0ydFpUbCfRaea9Xo6nwQd%2BRXRljwL8BL1x7U%3D&amp;reserved=0" xr:uid="{2C632F89-83A0-4F70-ABAB-543F09FACB78}"/>
    <hyperlink ref="A9" r:id="rId4" display="https://www.barchart.com/futures/quotes/E6U20/overview" xr:uid="{59CBFC55-4A64-4314-9436-3734C085A1E0}"/>
    <hyperlink ref="A15" r:id="rId5" display="https://www.barchart.com/futures/quotes/E6M21/overview" xr:uid="{FFFA40D9-F0E5-44D5-8796-BACC8E9C22AD}"/>
    <hyperlink ref="A16" r:id="rId6" display="https://www.barchart.com/futures/quotes/E6U21/overview" xr:uid="{12E5ACAA-BA41-4841-8141-882E7A56BAC4}"/>
    <hyperlink ref="A17" r:id="rId7" display="https://www.barchart.com/futures/quotes/E6Z21/overview" xr:uid="{AECE66D3-8AF6-4D81-A687-B8B92829E6BF}"/>
  </hyperlinks>
  <pageMargins left="0.7" right="0.7" top="0.75" bottom="0.75" header="0.3" footer="0.3"/>
  <pageSetup paperSize="9" orientation="portrait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5786-78B6-4CC4-B6C5-867FA9551868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FC553F55EB343B4DC9D67F011E7AA" ma:contentTypeVersion="13" ma:contentTypeDescription="Create a new document." ma:contentTypeScope="" ma:versionID="867fc50024a9071c00e1c2c065b01004">
  <xsd:schema xmlns:xsd="http://www.w3.org/2001/XMLSchema" xmlns:xs="http://www.w3.org/2001/XMLSchema" xmlns:p="http://schemas.microsoft.com/office/2006/metadata/properties" xmlns:ns3="f70b42e7-3f1e-4b59-9e9e-4475b1b5ec8b" xmlns:ns4="1e45dcb0-a0eb-40cf-b0e4-f1794c4836e6" targetNamespace="http://schemas.microsoft.com/office/2006/metadata/properties" ma:root="true" ma:fieldsID="09e334db05c29b01ab02380c753c0f2a" ns3:_="" ns4:_="">
    <xsd:import namespace="f70b42e7-3f1e-4b59-9e9e-4475b1b5ec8b"/>
    <xsd:import namespace="1e45dcb0-a0eb-40cf-b0e4-f1794c4836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b42e7-3f1e-4b59-9e9e-4475b1b5e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5dcb0-a0eb-40cf-b0e4-f1794c483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F I F A A B Q S w M E F A A C A A g A b E u X T / s N x s O o A A A A + Q A A A B I A H A B D b 2 5 m a W c v U G F j a 2 F n Z S 5 4 b W w g o h g A K K A U A A A A A A A A A A A A A A A A A A A A A A A A A A A A h Y / B C o J A F E V / R W b v P B 1 p C n m O R N u E I I q 2 o p M O 6 h g 6 k / 5 b i z 6 p X 0 g o q 1 3 L e z k X z n 3 c 7 h i P T e 1 c Z d e r V k f E p x 5 x p M 7 a X O k i I t a c 3 R W J B e 7 S r E o L 6 U y w 7 s O x V x E p j b m E A M M w 0 C G g b V c A 8 z w f T s l 2 n 5 W y S V 2 l e 5 P q T J L P K v + / I g K P L x n B K O d 0 E S w 5 9 T l j C H O P i d J f h k 3 K 1 E P 4 K X F j a 2 M 7 K W z l H t Y I c 0 R 4 3 x B P U E s D B B Q A A g A I A G x L l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S 5 d P o z s h I U g C A A C d B Q A A E w A c A E Z v c m 1 1 b G F z L 1 N l Y 3 R p b 2 4 x L m 0 g o h g A K K A U A A A A A A A A A A A A A A A A A A A A A A A A A A A A n V P d b t M w F L 6 v 1 H e w M r V q p S h / j P 0 w R Q i W T e J u W g t c I D S 5 6 W G t l j h V 4 k y r q k r A x b j Y A 7 A 7 k H i B g Y j W A R 2 v 4 L w R x 0 m 7 p o i u F U l 8 Y p / P 5 / g 7 n + 0 I X N 4 N G G n k f 3 O n X C q X o g 4 N o U 3 W l C Z t e U A s h d j E A 1 4 u E X z E Z f o u f S 9 u 0 w 9 i L E b i B 2 I v o a U d 0 G O o y c 5 u w D g w H t W U D u e 9 6 J G u t y g 7 0 Y 6 D U y 2 m u o t o G H h 6 f K K 7 c e g D p 5 7 s h M D c v h 4 B D d 3 O 4 z d B 6 D f 7 P b D z 8 Q G E 3 a C 9 j 8 4 q 7 / p w F H H o 2 W 3 a 9 f r V a a R t b m x X e 9 m 8 B q c h b + I 8 2 z A 1 / C z D 3 J x A e 6 y d A 5 u a 8 R A B y 6 w G M Y f Q 5 r L M K p y B i 0 O 7 4 h i V b U v a p 1 u Z f Z L Z v c w 6 m T U q j l n Z m s x R 6 n U 1 l 8 a h n F q o x 9 8 S D a z h K 4 m 9 n s x b U 8 S l u B a / R I K 4 b O P 0 Q t w Q D B m J 3 1 L s T H e t G V I W S T F 2 A y / 2 m Z Q k q m V r q I O B k j t N R S U c A d K m H I Y q m f q t q Z / D G S / 4 H 6 D / G e M b 6 5 p M V w D W 5 w K G 9 R n V L + K 7 u B I / 7 4 g m J K 8 O X V / T 8 / R i R v g Q / O A U 8 n x R 7 f 4 q 1 S L T O 3 L F d R c H m 0 s 0 W o X 0 T M L F l X / E F A U G G J 0 Q J D U W V 7 i z S b a 3 S b H 6 n k d d e E G 9 G O 4 v H j d N 0 b D h O w k K p 9 F N 5 K D O m K 2 m h 7 V c j 5 V K + Y c m L P Z b E M 6 p 8 h l T X a O 8 S U H e m 4 K 8 I k n P F x J a c i z k Y Z g j A d T t k C O i E 9 M w F l P 6 h G u + x W S j S d p b 8 Q 1 J L j + u j P r F 4 7 p S Z f M i K c 8 b D j n E u 6 c U 7 p K 8 l I q T O Y f 1 c q n L / o / o z h 9 Q S w E C L Q A U A A I A C A B s S 5 d P + w 3 G w 6 g A A A D 5 A A A A E g A A A A A A A A A A A A A A A A A A A A A A Q 2 9 u Z m l n L 1 B h Y 2 t h Z 2 U u e G 1 s U E s B A i 0 A F A A C A A g A b E u X T w / K 6 a u k A A A A 6 Q A A A B M A A A A A A A A A A A A A A A A A 9 A A A A F t D b 2 5 0 Z W 5 0 X 1 R 5 c G V z X S 5 4 b W x Q S w E C L Q A U A A I A C A B s S 5 d P o z s h I U g C A A C d B Q A A E w A A A A A A A A A A A A A A A A D l A Q A A R m 9 y b X V s Y X M v U 2 V j d G l v b j E u b V B L B Q Y A A A A A A w A D A M I A A A B 6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D w A A A A A A A B 8 P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U X V l c n l J R C I g V m F s d W U 9 I n M 5 Y m V m N z A 5 Z S 0 2 N D E 4 L T Q 4 M D Q t Y T l m M y 0 0 Y j Z k M j c y N 2 U x N j U i I C 8 + P E V u d H J 5 I F R 5 c G U 9 I k Z p b G x M Y X N 0 V X B k Y X R l Z C I g V m F s d W U 9 I m Q y M D E 5 L T E y L T I z V D A 3 O j I z O j M 1 L j c z M D I w M z h a I i A v P j x F b n R y e S B U e X B l P S J G a W x s R X J y b 3 J D b 3 V u d C I g V m F s d W U 9 I m w w I i A v P j x F b n R y e S B U e X B l P S J G a W x s Q 2 9 s d W 1 u V H l w Z X M i I F Z h b H V l P S J z Q 1 F V P S I g L z 4 8 R W 5 0 c n k g V H l w Z T 0 i R m l s b E V y c m 9 y Q 2 9 k Z S I g V m F s d W U 9 I n N V b m t u b 3 d u I i A v P j x F b n R y e S B U e X B l P S J G a W x s Q 2 9 s d W 1 u T m F t Z X M i I F Z h b H V l P S J z W y Z x d W 9 0 O 0 R h d G U m c X V v d D s s J n F 1 b 3 Q 7 V V N E I F J h d G U m c X V v d D t d I i A v P j x F b n R y e S B U e X B l P S J G a W x s Q 2 9 1 b n Q i I F Z h b H V l P S J s M C I g L z 4 8 R W 5 0 c n k g V H l w Z T 0 i R m l s b F N 0 Y X R 1 c y I g V m F s d W U 9 I n N X Y W l 0 a W 5 n R m 9 y R X h j Z W x S Z W Z y Z X N o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v 0 J j Q t 9 C 8 0 L X Q v d C 1 0 L 3 Q v d G L 0 L k g 0 Y L Q u N C / L n t D b 2 x 1 b W 4 x L D B 9 J n F 1 b 3 Q 7 L C Z x d W 9 0 O 1 N l Y 3 R p b 2 4 x L 1 R h Y m x l I D I v 0 K D Q s N C 3 0 L T Q t d C 7 0 L X Q v d C 9 0 Y v Q u S D R g d G C 0 L 7 Q u 9 C x 0 L X R h i 5 7 Q 2 9 s d W 1 u N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S A y L 9 C Y 0 L f Q v N C 1 0 L 3 Q t d C 9 0 L 3 R i 9 C 5 I N G C 0 L j Q v y 5 7 Q 2 9 s d W 1 u M S w w f S Z x d W 9 0 O y w m c X V v d D t T Z W N 0 a W 9 u M S 9 U Y W J s Z S A y L 9 C g 0 L D Q t 9 C 0 0 L X Q u 9 C 1 0 L 3 Q v d G L 0 L k g 0 Y H R g t C + 0 L v Q s d C 1 0 Y Y u e 0 N v b H V t b j Q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y V E M C V B M C V E M C V C M C V E M C V C N y V E M C V C N C V E M C V C N S V E M C V C Q i V E M C V C N S V E M C V C R C V E M C V C R C V E M S U 4 Q i V E M C V C O S U y M C V E M S U 4 M S V E M S U 4 M i V E M C V C R S V E M C V C Q i V E M C V C M S V E M C V C N S V E M S U 4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7 E s d e e w R m k i j / j J L j f P J N g A A A A A C A A A A A A A D Z g A A w A A A A B A A A A B D i B e O z W / Z t z N D q F a + P X Z n A A A A A A S A A A C g A A A A E A A A A N m W t 3 i e 8 M B 8 g / v P o w D 3 H T 9 Q A A A A b N Z m z u m B 6 k V R 8 t Q A s 6 0 S T O M m 6 3 H 0 C C h M N C l B 9 v O A 1 c w 7 l 7 u y T p a B 3 m x m a Q S E Q e N U M 6 H G D c M W c y 9 I C a + S U k F E L g D u G r N b p u d b P a P X n n o 9 4 R I U A A A A w p 3 5 i l T n l 8 a P 1 x 4 B f R S 3 E o J p Q u g = < / D a t a M a s h u p > 
</file>

<file path=customXml/itemProps1.xml><?xml version="1.0" encoding="utf-8"?>
<ds:datastoreItem xmlns:ds="http://schemas.openxmlformats.org/officeDocument/2006/customXml" ds:itemID="{9A2A818B-9336-4360-A33C-DF1B57746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b42e7-3f1e-4b59-9e9e-4475b1b5ec8b"/>
    <ds:schemaRef ds:uri="1e45dcb0-a0eb-40cf-b0e4-f1794c483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C99174-F427-4156-842D-A01BAF38FF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E4507-B967-4DEF-B122-A64A4C8C2765}">
  <ds:schemaRefs>
    <ds:schemaRef ds:uri="http://purl.org/dc/terms/"/>
    <ds:schemaRef ds:uri="http://schemas.openxmlformats.org/package/2006/metadata/core-properties"/>
    <ds:schemaRef ds:uri="1e45dcb0-a0eb-40cf-b0e4-f1794c4836e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70b42e7-3f1e-4b59-9e9e-4475b1b5ec8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2DA0792-89AC-45FC-A76C-F9D3B0F35E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Аркуш1</vt:lpstr>
      <vt:lpstr>inputs</vt:lpstr>
      <vt:lpstr>kurs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Novak</dc:creator>
  <cp:lastModifiedBy>Roman Novak</cp:lastModifiedBy>
  <cp:lastPrinted>2020-09-07T08:48:23Z</cp:lastPrinted>
  <dcterms:created xsi:type="dcterms:W3CDTF">2019-11-28T13:52:26Z</dcterms:created>
  <dcterms:modified xsi:type="dcterms:W3CDTF">2020-10-12T10:49:45Z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0x01010009FFC553F55EB343B4DC9D67F011E7AA</vt:lpwstr>
  </property>
  <property fmtid="{D5CDD505-2E9C-101B-9397-08002B2CF9AE}" pid="3" name="MSIP_Label_899570e0-9b67-420b-a7af-258803f870d1_Enabled">
    <vt:lpwstr>true</vt:lpwstr>
  </property>
  <property fmtid="{D5CDD505-2E9C-101B-9397-08002B2CF9AE}" pid="4" name="MSIP_Label_899570e0-9b67-420b-a7af-258803f870d1_SetDate">
    <vt:lpwstr>2020-04-01T08:54:14Z</vt:lpwstr>
  </property>
  <property fmtid="{D5CDD505-2E9C-101B-9397-08002B2CF9AE}" pid="5" name="MSIP_Label_899570e0-9b67-420b-a7af-258803f870d1_Method">
    <vt:lpwstr>Standard</vt:lpwstr>
  </property>
  <property fmtid="{D5CDD505-2E9C-101B-9397-08002B2CF9AE}" pid="6" name="MSIP_Label_899570e0-9b67-420b-a7af-258803f870d1_Name">
    <vt:lpwstr>Ukraine All Employees</vt:lpwstr>
  </property>
  <property fmtid="{D5CDD505-2E9C-101B-9397-08002B2CF9AE}" pid="7" name="MSIP_Label_899570e0-9b67-420b-a7af-258803f870d1_SiteId">
    <vt:lpwstr>bd8f87a0-d05d-46c4-a975-e326112a909a</vt:lpwstr>
  </property>
  <property fmtid="{D5CDD505-2E9C-101B-9397-08002B2CF9AE}" pid="8" name="MSIP_Label_899570e0-9b67-420b-a7af-258803f870d1_ActionId">
    <vt:lpwstr>8a9d9a3f-2a8e-4a42-be61-00005542ca08</vt:lpwstr>
  </property>
  <property fmtid="{D5CDD505-2E9C-101B-9397-08002B2CF9AE}" pid="9" name="MSIP_Label_899570e0-9b67-420b-a7af-258803f870d1_ContentBits">
    <vt:lpwstr>0</vt:lpwstr>
  </property>
</Properties>
</file>